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fs\yagur\mzc\יגור\מזכירות\התחדשות\2021\שיוך\"/>
    </mc:Choice>
  </mc:AlternateContent>
  <bookViews>
    <workbookView xWindow="0" yWindow="0" windowWidth="28800" windowHeight="12480"/>
  </bookViews>
  <sheets>
    <sheet name="גיליון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D50" i="1"/>
  <c r="G42" i="1"/>
  <c r="D42" i="1"/>
  <c r="G35" i="1"/>
  <c r="J29" i="1"/>
  <c r="G29" i="1"/>
  <c r="D29" i="1"/>
  <c r="G28" i="1"/>
  <c r="D28" i="1"/>
  <c r="C23" i="1"/>
  <c r="B23" i="1"/>
  <c r="F23" i="1" s="1"/>
  <c r="G19" i="1"/>
  <c r="C19" i="1"/>
  <c r="J19" i="1" s="1"/>
  <c r="G18" i="1"/>
  <c r="D18" i="1"/>
  <c r="J31" i="1" s="1"/>
  <c r="C18" i="1"/>
  <c r="F18" i="1" s="1"/>
  <c r="G17" i="1"/>
  <c r="G20" i="1" s="1"/>
  <c r="G22" i="1" s="1"/>
  <c r="C17" i="1"/>
  <c r="G16" i="1"/>
  <c r="F16" i="1"/>
  <c r="C16" i="1"/>
  <c r="C20" i="1" s="1"/>
  <c r="C22" i="1" s="1"/>
  <c r="C24" i="1" s="1"/>
  <c r="E29" i="1" s="1"/>
  <c r="J15" i="1"/>
  <c r="G15" i="1"/>
  <c r="G23" i="1" s="1"/>
  <c r="F15" i="1"/>
  <c r="F17" i="1" s="1"/>
  <c r="D15" i="1"/>
  <c r="D16" i="1" s="1"/>
  <c r="C15" i="1"/>
  <c r="G24" i="1" l="1"/>
  <c r="J16" i="1"/>
  <c r="K17" i="1"/>
  <c r="K19" i="1" s="1"/>
  <c r="D19" i="1"/>
  <c r="G37" i="1"/>
  <c r="D23" i="1"/>
  <c r="F19" i="1"/>
  <c r="F20" i="1" s="1"/>
  <c r="F22" i="1" s="1"/>
  <c r="F24" i="1" s="1"/>
  <c r="D17" i="1"/>
  <c r="D37" i="1" l="1"/>
  <c r="J20" i="1"/>
  <c r="J17" i="1"/>
  <c r="G38" i="1"/>
  <c r="G45" i="1" s="1"/>
  <c r="D20" i="1"/>
  <c r="D22" i="1" s="1"/>
  <c r="D24" i="1" s="1"/>
  <c r="G48" i="1" l="1"/>
  <c r="G47" i="1"/>
  <c r="J22" i="1"/>
  <c r="J25" i="1"/>
  <c r="D38" i="1"/>
  <c r="D45" i="1" s="1"/>
  <c r="D48" i="1" l="1"/>
  <c r="D47" i="1"/>
</calcChain>
</file>

<file path=xl/comments1.xml><?xml version="1.0" encoding="utf-8"?>
<comments xmlns="http://schemas.openxmlformats.org/spreadsheetml/2006/main">
  <authors>
    <author>mshek</author>
    <author>alon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נתונים מהרן ילין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מוערך כ 40 משפחות, בחלקם בנים / נכדים שיבחרו להצטרף לקיבוץ במגרש מבונה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על פי שומות עדכניות, ממוצעות לרמ"י באזור בהתאמה לנתוני יגור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הפחתה לפי נורמה לממוצע 0.8 קןמת קרקע, 0.6 קומות גבוהות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היטל השבחה זבולון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פרעון הלוואה</t>
        </r>
      </text>
    </comment>
    <comment ref="I31" authorId="1" shapeId="0">
      <text>
        <r>
          <rPr>
            <b/>
            <sz val="9"/>
            <color indexed="81"/>
            <rFont val="Tahoma"/>
            <family val="2"/>
          </rPr>
          <t>alon:</t>
        </r>
        <r>
          <rPr>
            <sz val="9"/>
            <color indexed="81"/>
            <rFont val="Tahoma"/>
            <family val="2"/>
          </rPr>
          <t xml:space="preserve">
חד פעמי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הם בנים משלמים ביגור דמי חברות?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mshek:</t>
        </r>
        <r>
          <rPr>
            <sz val="9"/>
            <color indexed="81"/>
            <rFont val="Tahoma"/>
            <family val="2"/>
          </rPr>
          <t xml:space="preserve">
אין חוות היטל השבחה במגרש ריק</t>
        </r>
      </text>
    </comment>
  </commentList>
</comments>
</file>

<file path=xl/sharedStrings.xml><?xml version="1.0" encoding="utf-8"?>
<sst xmlns="http://schemas.openxmlformats.org/spreadsheetml/2006/main" count="72" uniqueCount="68">
  <si>
    <t>פרופורמה לאומדן עלויות שיוך - יגור - אוקטובר 2021</t>
  </si>
  <si>
    <t>מסלול שיוך על פי החלטת רמ"י 1456</t>
  </si>
  <si>
    <t>הנחות עבודה להחלטות שיתקבלו:</t>
  </si>
  <si>
    <t>הנחות עבודה לבנייה עד 160 מ"ר (להחלטה  132 מ"ר) , ככל שיהיו זכויות בנייה, ורצון מימוש - ישולם כתוספת על ידי החבר</t>
  </si>
  <si>
    <t>על פי לוח 2 - תמ"א 35 ליגור</t>
  </si>
  <si>
    <t xml:space="preserve">יחידות דיור, מתוכם יאושרו </t>
  </si>
  <si>
    <t>(691) 585</t>
  </si>
  <si>
    <t>מגרשים "מוטבים"</t>
  </si>
  <si>
    <t>ביגור 360 יחידות מגורי קבע (לרבות הבלוקונים) + 190 יחידות זמניות הניתנות לחיבור / הסבה לדירות קבע = 550 יחידות קיימות + 100 זמניות.</t>
  </si>
  <si>
    <t>ליגור יתרת זכות למסגרת התמא, של 150 מגרשים שאינם מבונים , מתוכם 46 יחידות בתבע בתוקף באזור הבריכה + 80 יחידות במתחם כרמל זבולון.</t>
  </si>
  <si>
    <t xml:space="preserve">יוחלט על קרן איזון, בין החברים, להפרש (שווי שמאי שאינו בערכי מכירה) לעניין גודל המגרש, זכויות הבנייה, ושווי המבונה הקיים. </t>
  </si>
  <si>
    <t>הפרש האיזון טרם נקבע</t>
  </si>
  <si>
    <t>בהסכם השיוך, יוגדר כי החבר מודע לתשתיות ציבוריות אשר עשויות להיות במגרש המשוייך, ולא יבוא בטענות או דרישות לקיבוץ. ככל שהתשתית</t>
  </si>
  <si>
    <t>מפריעה בפועל לתוספת בנייה, תבוצע העתקה על ידי החבר בפיקוח הקיבוץ. הקיבוץ יפעל על פי שיקולו ותוכנית רב שנתית, להסדרה בתוואי הציבורי.</t>
  </si>
  <si>
    <t>יוצע ליורשים בעלי הזכאות, מימוש באמצעות מכירה לבנים / הקצאת מגרש ריק לבנייה, פיצוי לתשתיות יתקבל מקרן האיזון בגין זכויות המוריש.</t>
  </si>
  <si>
    <t>דירות אגודה זמניות, עומדות לשכירות לתושבים ומועמדים, דמי השכירות מהווים מקור בשוטף לתשלום 5% מערך המגרש לרמ"י.</t>
  </si>
  <si>
    <t>חבר ותיק במגרש נורמיטבי צמוד קרקע</t>
  </si>
  <si>
    <t>חבר חדש במגרש נורמיטבי צמוד קרקע</t>
  </si>
  <si>
    <t>חבר ותיק ביחידה בבית משותף</t>
  </si>
  <si>
    <t>חבר חדש ביחידה בבית משותף</t>
  </si>
  <si>
    <t>יגור בגין יחידות שטרם שווקו</t>
  </si>
  <si>
    <t>שווי קרקע שמאות רמי</t>
  </si>
  <si>
    <t>דירה קטנה</t>
  </si>
  <si>
    <t>תשלום בסיס</t>
  </si>
  <si>
    <t>לשנה</t>
  </si>
  <si>
    <t>מע"מ</t>
  </si>
  <si>
    <t>היטל השבחה</t>
  </si>
  <si>
    <t>לחודש</t>
  </si>
  <si>
    <t>מס רכישה</t>
  </si>
  <si>
    <t>סהכ  בסיס</t>
  </si>
  <si>
    <t>ממוצע קרן איזון</t>
  </si>
  <si>
    <t>סהכ תשלום בסיס</t>
  </si>
  <si>
    <t>מימון ביניים עד שיווק</t>
  </si>
  <si>
    <t>יתרת תשלום</t>
  </si>
  <si>
    <t>סהכ תשלום מלא</t>
  </si>
  <si>
    <t>מקדמה</t>
  </si>
  <si>
    <t>שווי שוק לנכס משוייך</t>
  </si>
  <si>
    <t>"משקי פיננסים"</t>
  </si>
  <si>
    <t>החזר חודשי</t>
  </si>
  <si>
    <t>הון עצמי</t>
  </si>
  <si>
    <t>ערבות קיבוץ</t>
  </si>
  <si>
    <t>סהכ הלוואה</t>
  </si>
  <si>
    <t>עומס  שנתי יגור</t>
  </si>
  <si>
    <t>החזר הלוואה לחבר שבחר בחלופת המינימום</t>
  </si>
  <si>
    <t>משפטיות ויועצים חד פעמי</t>
  </si>
  <si>
    <t>בתשלום מלא</t>
  </si>
  <si>
    <t>יחידות מוטבות החזר הלוואה לשנה</t>
  </si>
  <si>
    <t xml:space="preserve">תשתיות , רב שנתי </t>
  </si>
  <si>
    <t>החזר וועד מקומי השבחה</t>
  </si>
  <si>
    <t>מ"ר</t>
  </si>
  <si>
    <t xml:space="preserve">אומדן עלות - חבר חדש (משפחה) - דירות מגורים במגרש ריק </t>
  </si>
  <si>
    <t>אומדן עלות לקליטת חבר במגרש מבונה בית משותף</t>
  </si>
  <si>
    <t>שימושים</t>
  </si>
  <si>
    <t>דמי חברות</t>
  </si>
  <si>
    <t>תשלום פנימי לקרן איזון</t>
  </si>
  <si>
    <t>דמי היוון ברמ"י במגרש מוטב</t>
  </si>
  <si>
    <t>תשתיות</t>
  </si>
  <si>
    <t>תכנון</t>
  </si>
  <si>
    <t>אגרות והטלים</t>
  </si>
  <si>
    <t>בנייה קומפלט</t>
  </si>
  <si>
    <t>רכישה</t>
  </si>
  <si>
    <t>פיתוח וגינון</t>
  </si>
  <si>
    <t>שיפוץ</t>
  </si>
  <si>
    <t>סהכ</t>
  </si>
  <si>
    <t>מקורות</t>
  </si>
  <si>
    <t>משכנתא</t>
  </si>
  <si>
    <t>שיעבוד הנכס</t>
  </si>
  <si>
    <t>*החזר חודשי למשכנתא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</si>
</sst>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₪&quot;\ #,##0;[Red]&quot;₪&quot;\ \-#,##0"/>
    <numFmt numFmtId="164" formatCode="#,##0_ ;[Red]\-#,##0\ "/>
  </numFmts>
  <fonts count="8" x14ac:knownFonts="1"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3" fontId="0" fillId="0" borderId="1" xfId="0" applyNumberFormat="1" applyBorder="1"/>
    <xf numFmtId="3" fontId="0" fillId="0" borderId="0" xfId="0" applyNumberFormat="1"/>
    <xf numFmtId="0" fontId="0" fillId="3" borderId="2" xfId="0" applyFill="1" applyBorder="1"/>
    <xf numFmtId="10" fontId="0" fillId="0" borderId="0" xfId="0" applyNumberFormat="1"/>
    <xf numFmtId="0" fontId="0" fillId="3" borderId="3" xfId="0" applyFill="1" applyBorder="1"/>
    <xf numFmtId="9" fontId="0" fillId="0" borderId="0" xfId="0" applyNumberFormat="1"/>
    <xf numFmtId="3" fontId="0" fillId="3" borderId="3" xfId="0" applyNumberFormat="1" applyFill="1" applyBorder="1"/>
    <xf numFmtId="0" fontId="0" fillId="0" borderId="0" xfId="0" applyAlignment="1">
      <alignment horizontal="right" wrapText="1"/>
    </xf>
    <xf numFmtId="3" fontId="0" fillId="3" borderId="4" xfId="0" applyNumberFormat="1" applyFill="1" applyBorder="1"/>
    <xf numFmtId="0" fontId="3" fillId="4" borderId="0" xfId="0" applyFont="1" applyFill="1" applyAlignment="1">
      <alignment wrapText="1"/>
    </xf>
    <xf numFmtId="9" fontId="2" fillId="0" borderId="0" xfId="0" applyNumberFormat="1" applyFont="1"/>
    <xf numFmtId="3" fontId="2" fillId="4" borderId="1" xfId="0" applyNumberFormat="1" applyFont="1" applyFill="1" applyBorder="1"/>
    <xf numFmtId="3" fontId="2" fillId="4" borderId="0" xfId="0" applyNumberFormat="1" applyFont="1" applyFill="1"/>
    <xf numFmtId="3" fontId="2" fillId="0" borderId="0" xfId="0" applyNumberFormat="1" applyFont="1"/>
    <xf numFmtId="3" fontId="4" fillId="5" borderId="0" xfId="0" applyNumberFormat="1" applyFont="1" applyFill="1"/>
    <xf numFmtId="0" fontId="0" fillId="5" borderId="0" xfId="0" applyFill="1" applyAlignment="1">
      <alignment wrapText="1"/>
    </xf>
    <xf numFmtId="0" fontId="2" fillId="6" borderId="0" xfId="0" applyFont="1" applyFill="1" applyAlignment="1">
      <alignment wrapText="1"/>
    </xf>
    <xf numFmtId="0" fontId="2" fillId="0" borderId="0" xfId="0" applyFont="1"/>
    <xf numFmtId="3" fontId="3" fillId="6" borderId="1" xfId="0" applyNumberFormat="1" applyFont="1" applyFill="1" applyBorder="1"/>
    <xf numFmtId="3" fontId="3" fillId="6" borderId="0" xfId="0" applyNumberFormat="1" applyFont="1" applyFill="1"/>
    <xf numFmtId="3" fontId="2" fillId="6" borderId="1" xfId="0" applyNumberFormat="1" applyFont="1" applyFill="1" applyBorder="1"/>
    <xf numFmtId="3" fontId="2" fillId="6" borderId="0" xfId="0" applyNumberFormat="1" applyFont="1" applyFill="1"/>
    <xf numFmtId="0" fontId="0" fillId="7" borderId="0" xfId="0" applyFill="1" applyAlignment="1">
      <alignment wrapText="1"/>
    </xf>
    <xf numFmtId="3" fontId="0" fillId="7" borderId="1" xfId="0" applyNumberFormat="1" applyFill="1" applyBorder="1"/>
    <xf numFmtId="3" fontId="0" fillId="7" borderId="0" xfId="0" applyNumberFormat="1" applyFill="1"/>
    <xf numFmtId="3" fontId="4" fillId="0" borderId="0" xfId="0" applyNumberFormat="1" applyFont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6" fontId="0" fillId="4" borderId="0" xfId="0" applyNumberFormat="1" applyFill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6" fontId="0" fillId="0" borderId="0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6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3" fontId="2" fillId="3" borderId="0" xfId="0" applyNumberFormat="1" applyFont="1" applyFill="1"/>
    <xf numFmtId="0" fontId="0" fillId="0" borderId="0" xfId="0" applyFill="1"/>
    <xf numFmtId="0" fontId="0" fillId="0" borderId="0" xfId="0" applyAlignment="1">
      <alignment horizontal="right"/>
    </xf>
    <xf numFmtId="6" fontId="0" fillId="0" borderId="0" xfId="0" applyNumberFormat="1"/>
    <xf numFmtId="3" fontId="2" fillId="4" borderId="0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8;&#1512;&#1508;&#1493;&#1512;&#1502;&#1492;%20&#1500;&#1492;&#1510;&#1490;&#1492;%20&#1500;&#1495;&#1489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ופורמה"/>
      <sheetName val="הלוואה (96)"/>
      <sheetName val="הלוואה (269)"/>
      <sheetName val="הלוואת יגור"/>
      <sheetName val="היטל השבחה זבולון"/>
      <sheetName val="הלוואה (משכנתא)"/>
      <sheetName val="הלוואה (משכנתא) (2)"/>
      <sheetName val="בתי אב למינהל בהחלטת שיוך "/>
      <sheetName val="שומות גבוהות"/>
      <sheetName val="שווי דירה בבית משותף למכירה "/>
      <sheetName val="גחמ"/>
      <sheetName val="מיפוי המגרשים בקיבוץ"/>
      <sheetName val="תחשיב החלטה 1488"/>
    </sheetNames>
    <sheetDataSet>
      <sheetData sheetId="0"/>
      <sheetData sheetId="1">
        <row r="3">
          <cell r="H3">
            <v>94337.148456124763</v>
          </cell>
        </row>
        <row r="19">
          <cell r="F19">
            <v>1207.6908225708657</v>
          </cell>
        </row>
      </sheetData>
      <sheetData sheetId="2">
        <row r="3">
          <cell r="H3">
            <v>256844.25213962171</v>
          </cell>
        </row>
        <row r="19">
          <cell r="F19">
            <v>2586.5971086794657</v>
          </cell>
        </row>
      </sheetData>
      <sheetData sheetId="3">
        <row r="10">
          <cell r="F10">
            <v>576287.3151129589</v>
          </cell>
        </row>
      </sheetData>
      <sheetData sheetId="4">
        <row r="29">
          <cell r="M29">
            <v>6440.2592052980135</v>
          </cell>
        </row>
      </sheetData>
      <sheetData sheetId="5">
        <row r="19">
          <cell r="F19">
            <v>4562.4600029211133</v>
          </cell>
        </row>
      </sheetData>
      <sheetData sheetId="6">
        <row r="19">
          <cell r="F19">
            <v>2331.307070478962</v>
          </cell>
        </row>
      </sheetData>
      <sheetData sheetId="7">
        <row r="220">
          <cell r="O220">
            <v>775104.84348171728</v>
          </cell>
        </row>
      </sheetData>
      <sheetData sheetId="8"/>
      <sheetData sheetId="9">
        <row r="34">
          <cell r="L34">
            <v>500000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rightToLeft="1" tabSelected="1" topLeftCell="A17" workbookViewId="0">
      <selection activeCell="J28" sqref="J28:K28"/>
    </sheetView>
  </sheetViews>
  <sheetFormatPr defaultRowHeight="14.25" x14ac:dyDescent="0.2"/>
  <sheetData>
    <row r="1" spans="1:11" ht="15" x14ac:dyDescent="0.25">
      <c r="A1" s="1" t="s">
        <v>0</v>
      </c>
      <c r="E1" t="s">
        <v>1</v>
      </c>
    </row>
    <row r="3" spans="1:11" ht="15" x14ac:dyDescent="0.25">
      <c r="A3" s="1" t="s">
        <v>2</v>
      </c>
    </row>
    <row r="4" spans="1:11" x14ac:dyDescent="0.2">
      <c r="A4" s="2">
        <v>1</v>
      </c>
      <c r="B4" t="s">
        <v>3</v>
      </c>
    </row>
    <row r="5" spans="1:11" ht="15" x14ac:dyDescent="0.25">
      <c r="A5" s="2">
        <v>2</v>
      </c>
      <c r="B5" t="s">
        <v>4</v>
      </c>
      <c r="D5" s="3">
        <v>700</v>
      </c>
      <c r="E5" t="s">
        <v>5</v>
      </c>
      <c r="H5" s="3" t="s">
        <v>6</v>
      </c>
      <c r="I5" t="s">
        <v>7</v>
      </c>
    </row>
    <row r="6" spans="1:11" x14ac:dyDescent="0.2">
      <c r="A6" s="2">
        <v>3</v>
      </c>
      <c r="B6" t="s">
        <v>8</v>
      </c>
    </row>
    <row r="7" spans="1:11" x14ac:dyDescent="0.2">
      <c r="A7" s="2">
        <v>4</v>
      </c>
      <c r="B7" t="s">
        <v>9</v>
      </c>
    </row>
    <row r="8" spans="1:11" x14ac:dyDescent="0.2">
      <c r="A8" s="2">
        <v>5</v>
      </c>
      <c r="B8" t="s">
        <v>10</v>
      </c>
    </row>
    <row r="9" spans="1:11" x14ac:dyDescent="0.2">
      <c r="A9" s="2"/>
      <c r="B9" t="s">
        <v>11</v>
      </c>
    </row>
    <row r="10" spans="1:11" x14ac:dyDescent="0.2">
      <c r="A10" s="2">
        <v>6</v>
      </c>
      <c r="B10" t="s">
        <v>12</v>
      </c>
    </row>
    <row r="11" spans="1:11" x14ac:dyDescent="0.2">
      <c r="A11" s="2"/>
      <c r="B11" t="s">
        <v>13</v>
      </c>
    </row>
    <row r="12" spans="1:11" x14ac:dyDescent="0.2">
      <c r="A12" s="2">
        <v>7</v>
      </c>
      <c r="B12" t="s">
        <v>14</v>
      </c>
    </row>
    <row r="13" spans="1:11" x14ac:dyDescent="0.2">
      <c r="A13" s="2">
        <v>8</v>
      </c>
      <c r="B13" t="s">
        <v>15</v>
      </c>
    </row>
    <row r="14" spans="1:11" ht="57.75" thickBot="1" x14ac:dyDescent="0.25">
      <c r="B14" s="4"/>
      <c r="C14" s="5" t="s">
        <v>16</v>
      </c>
      <c r="D14" s="6" t="s">
        <v>17</v>
      </c>
      <c r="F14" s="5" t="s">
        <v>18</v>
      </c>
      <c r="G14" s="6" t="s">
        <v>19</v>
      </c>
      <c r="H14" s="4"/>
      <c r="I14" s="4"/>
      <c r="J14" s="6" t="s">
        <v>20</v>
      </c>
      <c r="K14" s="6">
        <v>110</v>
      </c>
    </row>
    <row r="15" spans="1:11" ht="28.5" x14ac:dyDescent="0.2">
      <c r="A15" s="4" t="s">
        <v>21</v>
      </c>
      <c r="C15" s="7">
        <f>'[1]בתי אב למינהל בהחלטת שיוך '!O220</f>
        <v>775104.84348171728</v>
      </c>
      <c r="D15" s="8">
        <f>C15</f>
        <v>775104.84348171728</v>
      </c>
      <c r="F15" s="7">
        <f>'[1]בתי אב למינהל בהחלטת שיוך '!O220*0.8</f>
        <v>620083.8747853738</v>
      </c>
      <c r="G15" s="8">
        <f>'[1]בתי אב למינהל בהחלטת שיוך '!O220*0.8</f>
        <v>620083.8747853738</v>
      </c>
      <c r="J15" s="8">
        <f>C15</f>
        <v>775104.84348171728</v>
      </c>
      <c r="K15" s="9" t="s">
        <v>22</v>
      </c>
    </row>
    <row r="16" spans="1:11" ht="28.5" x14ac:dyDescent="0.2">
      <c r="A16" s="4" t="s">
        <v>23</v>
      </c>
      <c r="B16" s="10">
        <v>3.7499999999999999E-2</v>
      </c>
      <c r="C16" s="7">
        <f>$B16*C15</f>
        <v>29066.431630564399</v>
      </c>
      <c r="D16" s="8">
        <f t="shared" ref="D16:G16" si="0">$B16*D15</f>
        <v>29066.431630564399</v>
      </c>
      <c r="E16" s="8"/>
      <c r="F16" s="7">
        <f t="shared" si="0"/>
        <v>23253.145304451518</v>
      </c>
      <c r="G16" s="8">
        <f t="shared" si="0"/>
        <v>23253.145304451518</v>
      </c>
      <c r="J16" s="8">
        <f t="shared" ref="J16:J19" si="1">C16</f>
        <v>29066.431630564399</v>
      </c>
      <c r="K16" s="11" t="s">
        <v>24</v>
      </c>
    </row>
    <row r="17" spans="1:11" x14ac:dyDescent="0.2">
      <c r="A17" s="4" t="s">
        <v>25</v>
      </c>
      <c r="B17" s="12">
        <v>0.17</v>
      </c>
      <c r="C17" s="7">
        <f>$B17*(C15*33%)</f>
        <v>43483.381719324345</v>
      </c>
      <c r="D17" s="8">
        <f t="shared" ref="D17:G17" si="2">$B17*(D15*33%)</f>
        <v>43483.381719324345</v>
      </c>
      <c r="E17" s="8"/>
      <c r="F17" s="7">
        <f t="shared" si="2"/>
        <v>34786.705375459474</v>
      </c>
      <c r="G17" s="8">
        <f t="shared" si="2"/>
        <v>34786.705375459474</v>
      </c>
      <c r="J17" s="8">
        <f>J16*B17</f>
        <v>4941.2933771959479</v>
      </c>
      <c r="K17" s="13">
        <f>(G15/2.5)*6%</f>
        <v>14882.01299484897</v>
      </c>
    </row>
    <row r="18" spans="1:11" x14ac:dyDescent="0.2">
      <c r="A18" s="14" t="s">
        <v>26</v>
      </c>
      <c r="B18" s="14"/>
      <c r="C18" s="7">
        <f>'[1]היטל השבחה זבולון'!M29</f>
        <v>6440.2592052980135</v>
      </c>
      <c r="D18" s="8">
        <f>C18</f>
        <v>6440.2592052980135</v>
      </c>
      <c r="E18" s="8"/>
      <c r="F18" s="7">
        <f>C18</f>
        <v>6440.2592052980135</v>
      </c>
      <c r="G18" s="8">
        <f>C18</f>
        <v>6440.2592052980135</v>
      </c>
      <c r="J18" s="8"/>
      <c r="K18" s="11" t="s">
        <v>27</v>
      </c>
    </row>
    <row r="19" spans="1:11" ht="15" thickBot="1" x14ac:dyDescent="0.25">
      <c r="A19" s="4" t="s">
        <v>28</v>
      </c>
      <c r="B19" s="12">
        <v>0.06</v>
      </c>
      <c r="C19" s="7">
        <f>$B19*(C15*33%)</f>
        <v>15347.075900938002</v>
      </c>
      <c r="D19" s="8">
        <f>$B19*(D15*33%)</f>
        <v>15347.075900938002</v>
      </c>
      <c r="E19" s="8"/>
      <c r="F19" s="7">
        <f>$B19*(F15*33%)</f>
        <v>12277.660720750402</v>
      </c>
      <c r="G19" s="8">
        <f>$B19*(G15*33%)</f>
        <v>12277.660720750402</v>
      </c>
      <c r="J19" s="8">
        <f t="shared" si="1"/>
        <v>15347.075900938002</v>
      </c>
      <c r="K19" s="15">
        <f>K17/12</f>
        <v>1240.1677495707474</v>
      </c>
    </row>
    <row r="20" spans="1:11" x14ac:dyDescent="0.2">
      <c r="A20" s="4" t="s">
        <v>29</v>
      </c>
      <c r="B20" s="12"/>
      <c r="C20" s="7">
        <f>SUM(C16:C19)</f>
        <v>94337.148456124763</v>
      </c>
      <c r="D20" s="8">
        <f>SUM(D16:D19)</f>
        <v>94337.148456124763</v>
      </c>
      <c r="E20" s="8"/>
      <c r="F20" s="7">
        <f>SUM(F16:F19)</f>
        <v>76757.770605959406</v>
      </c>
      <c r="G20" s="8">
        <f>SUM(G16:G19)</f>
        <v>76757.770605959406</v>
      </c>
      <c r="J20" s="8">
        <f>SUM(J16:J19)</f>
        <v>49354.800908698351</v>
      </c>
    </row>
    <row r="21" spans="1:11" ht="28.5" x14ac:dyDescent="0.2">
      <c r="A21" s="4" t="s">
        <v>30</v>
      </c>
      <c r="B21" s="12"/>
      <c r="C21" s="7"/>
      <c r="D21" s="8">
        <v>90000</v>
      </c>
      <c r="E21" s="8"/>
      <c r="F21" s="7">
        <v>-50000</v>
      </c>
      <c r="G21" s="8">
        <v>20000</v>
      </c>
    </row>
    <row r="22" spans="1:11" ht="45" x14ac:dyDescent="0.25">
      <c r="A22" s="16" t="s">
        <v>31</v>
      </c>
      <c r="B22" s="17"/>
      <c r="C22" s="18">
        <f>SUM(C20:C21)</f>
        <v>94337.148456124763</v>
      </c>
      <c r="D22" s="19">
        <f t="shared" ref="D22:G22" si="3">SUM(D20:D21)</f>
        <v>184337.14845612476</v>
      </c>
      <c r="E22" s="20"/>
      <c r="F22" s="18">
        <f t="shared" si="3"/>
        <v>26757.770605959406</v>
      </c>
      <c r="G22" s="19">
        <f t="shared" si="3"/>
        <v>96757.770605959406</v>
      </c>
      <c r="J22" s="21">
        <f>J20*K14</f>
        <v>5429028.0999568189</v>
      </c>
      <c r="K22" s="22" t="s">
        <v>32</v>
      </c>
    </row>
    <row r="23" spans="1:11" ht="28.5" x14ac:dyDescent="0.2">
      <c r="A23" s="4" t="s">
        <v>33</v>
      </c>
      <c r="B23" s="10">
        <f>33%-B16</f>
        <v>0.29250000000000004</v>
      </c>
      <c r="C23" s="7">
        <f>$B23*C15</f>
        <v>226718.16671840232</v>
      </c>
      <c r="D23" s="8">
        <f>$B23*D15</f>
        <v>226718.16671840232</v>
      </c>
      <c r="E23" s="8"/>
      <c r="F23" s="7">
        <f>$B23*F15</f>
        <v>181374.53337472185</v>
      </c>
      <c r="G23" s="8">
        <f>$B23*G15</f>
        <v>181374.53337472185</v>
      </c>
    </row>
    <row r="24" spans="1:11" ht="45" x14ac:dyDescent="0.25">
      <c r="A24" s="23" t="s">
        <v>34</v>
      </c>
      <c r="B24" s="24"/>
      <c r="C24" s="25">
        <f>SUM(C22:C23)</f>
        <v>321055.31517452712</v>
      </c>
      <c r="D24" s="26">
        <f>SUM(D22:D23)</f>
        <v>411055.31517452712</v>
      </c>
      <c r="E24" s="20"/>
      <c r="F24" s="27">
        <f>SUM(F22:F23)</f>
        <v>208132.30398068126</v>
      </c>
      <c r="G24" s="28">
        <f>SUM(G22:G23)</f>
        <v>278132.30398068123</v>
      </c>
      <c r="J24" t="s">
        <v>35</v>
      </c>
    </row>
    <row r="25" spans="1:11" ht="42.75" x14ac:dyDescent="0.2">
      <c r="A25" s="29" t="s">
        <v>36</v>
      </c>
      <c r="C25" s="30">
        <v>2500000</v>
      </c>
      <c r="D25" s="31">
        <v>2500000</v>
      </c>
      <c r="F25" s="30">
        <v>1500000</v>
      </c>
      <c r="G25" s="31">
        <v>1500000</v>
      </c>
      <c r="J25" s="32" t="e">
        <f>H5*J20</f>
        <v>#VALUE!</v>
      </c>
    </row>
    <row r="26" spans="1:11" ht="15" thickBot="1" x14ac:dyDescent="0.25"/>
    <row r="27" spans="1:11" ht="15" x14ac:dyDescent="0.25">
      <c r="A27" s="33" t="s">
        <v>37</v>
      </c>
      <c r="D27" t="s">
        <v>38</v>
      </c>
      <c r="E27" t="s">
        <v>39</v>
      </c>
      <c r="F27" t="s">
        <v>40</v>
      </c>
      <c r="G27" t="s">
        <v>41</v>
      </c>
      <c r="H27" s="34"/>
      <c r="I27" s="35"/>
      <c r="J27" s="35" t="s">
        <v>42</v>
      </c>
      <c r="K27" s="36"/>
    </row>
    <row r="28" spans="1:11" ht="15" x14ac:dyDescent="0.25">
      <c r="A28" t="s">
        <v>43</v>
      </c>
      <c r="D28" s="37">
        <f>'[1]הלוואה (96)'!F19</f>
        <v>1207.6908225708657</v>
      </c>
      <c r="G28" s="8">
        <f>'[1]הלוואה (96)'!H3</f>
        <v>94337.148456124763</v>
      </c>
      <c r="H28" s="38" t="s">
        <v>44</v>
      </c>
      <c r="I28" s="39"/>
      <c r="J28" s="61">
        <v>3000000</v>
      </c>
      <c r="K28" s="62"/>
    </row>
    <row r="29" spans="1:11" x14ac:dyDescent="0.2">
      <c r="A29" t="s">
        <v>43</v>
      </c>
      <c r="C29" t="s">
        <v>45</v>
      </c>
      <c r="D29" s="37">
        <f>'[1]הלוואה (269)'!F19</f>
        <v>2586.5971086794657</v>
      </c>
      <c r="E29" s="8">
        <f>C24*20%</f>
        <v>64211.063034905426</v>
      </c>
      <c r="F29" s="12">
        <v>0.05</v>
      </c>
      <c r="G29" s="8">
        <f>'[1]הלוואה (269)'!H3</f>
        <v>256844.25213962171</v>
      </c>
      <c r="H29" s="40" t="s">
        <v>46</v>
      </c>
      <c r="I29" s="41"/>
      <c r="J29" s="42">
        <f>'[1]הלוואת יגור'!F10</f>
        <v>576287.3151129589</v>
      </c>
      <c r="K29" s="43"/>
    </row>
    <row r="30" spans="1:11" x14ac:dyDescent="0.2">
      <c r="H30" s="38"/>
      <c r="I30" s="41" t="s">
        <v>47</v>
      </c>
      <c r="J30" s="42">
        <v>1000000</v>
      </c>
      <c r="K30" s="43"/>
    </row>
    <row r="31" spans="1:11" ht="15" thickBot="1" x14ac:dyDescent="0.25">
      <c r="A31" s="44"/>
      <c r="B31" s="44"/>
      <c r="C31" s="44"/>
      <c r="D31" s="44"/>
      <c r="E31" s="44"/>
      <c r="F31" s="44"/>
      <c r="G31" s="45"/>
      <c r="H31" s="46"/>
      <c r="I31" s="47" t="s">
        <v>48</v>
      </c>
      <c r="J31" s="48">
        <f>(D18*550)*50%*-1</f>
        <v>-1771071.2814569536</v>
      </c>
      <c r="K31" s="49"/>
    </row>
    <row r="32" spans="1:11" x14ac:dyDescent="0.2">
      <c r="E32" t="s">
        <v>49</v>
      </c>
      <c r="I32" s="50"/>
      <c r="J32" s="51"/>
      <c r="K32" s="51" t="s">
        <v>49</v>
      </c>
    </row>
    <row r="33" spans="1:11" x14ac:dyDescent="0.2">
      <c r="A33" s="52" t="s">
        <v>50</v>
      </c>
      <c r="E33" s="52">
        <v>135</v>
      </c>
      <c r="F33" s="52"/>
      <c r="G33" s="52" t="s">
        <v>51</v>
      </c>
      <c r="H33" s="53"/>
      <c r="I33" s="54"/>
      <c r="J33" s="55"/>
      <c r="K33" s="56">
        <v>100</v>
      </c>
    </row>
    <row r="34" spans="1:11" x14ac:dyDescent="0.2">
      <c r="A34" s="52" t="s">
        <v>52</v>
      </c>
    </row>
    <row r="35" spans="1:11" x14ac:dyDescent="0.2">
      <c r="A35" t="s">
        <v>53</v>
      </c>
      <c r="D35" s="8">
        <v>25000</v>
      </c>
      <c r="G35" s="8">
        <f>D35</f>
        <v>25000</v>
      </c>
    </row>
    <row r="36" spans="1:11" x14ac:dyDescent="0.2">
      <c r="A36" t="s">
        <v>54</v>
      </c>
      <c r="D36" s="8">
        <v>20000</v>
      </c>
      <c r="G36" s="8"/>
    </row>
    <row r="37" spans="1:11" x14ac:dyDescent="0.2">
      <c r="A37" t="s">
        <v>55</v>
      </c>
      <c r="D37" s="8">
        <f>D17+D16+D23</f>
        <v>299267.98006829107</v>
      </c>
      <c r="G37" s="8">
        <f>G16+G17+G23</f>
        <v>239414.38405463286</v>
      </c>
    </row>
    <row r="38" spans="1:11" x14ac:dyDescent="0.2">
      <c r="A38" t="s">
        <v>28</v>
      </c>
      <c r="D38" s="8">
        <f>D37*B19</f>
        <v>17956.078804097462</v>
      </c>
      <c r="G38" s="8">
        <f>G37*B19</f>
        <v>14364.86304327797</v>
      </c>
    </row>
    <row r="39" spans="1:11" x14ac:dyDescent="0.2">
      <c r="A39" t="s">
        <v>56</v>
      </c>
      <c r="D39" s="8">
        <v>200000</v>
      </c>
      <c r="G39" s="8"/>
    </row>
    <row r="40" spans="1:11" x14ac:dyDescent="0.2">
      <c r="A40" t="s">
        <v>57</v>
      </c>
      <c r="D40" s="8">
        <v>30000</v>
      </c>
      <c r="G40" s="8"/>
    </row>
    <row r="41" spans="1:11" x14ac:dyDescent="0.2">
      <c r="A41" t="s">
        <v>58</v>
      </c>
      <c r="D41" s="8">
        <v>30000</v>
      </c>
      <c r="G41" s="8"/>
    </row>
    <row r="42" spans="1:11" x14ac:dyDescent="0.2">
      <c r="A42" t="s">
        <v>59</v>
      </c>
      <c r="C42">
        <v>6200</v>
      </c>
      <c r="D42" s="8">
        <f>C42*E33</f>
        <v>837000</v>
      </c>
      <c r="G42" s="8">
        <f>'[1]שווי דירה בבית משותף למכירה '!L34</f>
        <v>500000</v>
      </c>
      <c r="H42" t="s">
        <v>60</v>
      </c>
    </row>
    <row r="43" spans="1:11" x14ac:dyDescent="0.2">
      <c r="A43" t="s">
        <v>61</v>
      </c>
      <c r="D43" s="8">
        <v>50000</v>
      </c>
      <c r="G43" s="8">
        <v>80000</v>
      </c>
      <c r="H43" t="s">
        <v>62</v>
      </c>
    </row>
    <row r="44" spans="1:11" x14ac:dyDescent="0.2">
      <c r="D44" s="8"/>
    </row>
    <row r="45" spans="1:11" ht="15" x14ac:dyDescent="0.25">
      <c r="A45" t="s">
        <v>63</v>
      </c>
      <c r="D45" s="57">
        <f>SUM(D35:D44)</f>
        <v>1509224.0588723887</v>
      </c>
      <c r="F45" s="58"/>
      <c r="G45" s="57">
        <f>SUM(G35:G44)</f>
        <v>858779.24709791085</v>
      </c>
    </row>
    <row r="46" spans="1:11" x14ac:dyDescent="0.2">
      <c r="A46" s="52" t="s">
        <v>64</v>
      </c>
      <c r="D46" s="8"/>
    </row>
    <row r="47" spans="1:11" x14ac:dyDescent="0.2">
      <c r="A47" t="s">
        <v>39</v>
      </c>
      <c r="B47" s="12">
        <v>0.3</v>
      </c>
      <c r="D47" s="8">
        <f>B47*D45</f>
        <v>452767.21766171657</v>
      </c>
      <c r="G47" s="8">
        <f>B47*G45</f>
        <v>257633.77412937325</v>
      </c>
    </row>
    <row r="48" spans="1:11" x14ac:dyDescent="0.2">
      <c r="A48" t="s">
        <v>65</v>
      </c>
      <c r="B48" s="12">
        <v>0.7</v>
      </c>
      <c r="C48" t="s">
        <v>66</v>
      </c>
      <c r="D48" s="8">
        <f>B48*D45</f>
        <v>1056456.8412106719</v>
      </c>
      <c r="G48" s="8">
        <f>B48*G45</f>
        <v>601145.47296853759</v>
      </c>
    </row>
    <row r="49" spans="1:7" x14ac:dyDescent="0.2">
      <c r="D49" s="8"/>
    </row>
    <row r="50" spans="1:7" x14ac:dyDescent="0.2">
      <c r="A50" s="59" t="s">
        <v>67</v>
      </c>
      <c r="D50" s="60">
        <f>'[1]הלוואה (משכנתא)'!F19</f>
        <v>4562.4600029211133</v>
      </c>
      <c r="G50" s="60">
        <f>'[1]הלוואה (משכנתא) (2)'!F19</f>
        <v>2331.307070478962</v>
      </c>
    </row>
  </sheetData>
  <mergeCells count="5">
    <mergeCell ref="A18:B18"/>
    <mergeCell ref="J28:K28"/>
    <mergeCell ref="J29:K29"/>
    <mergeCell ref="J30:K30"/>
    <mergeCell ref="J31:K31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boaz ohana</dc:creator>
  <cp:lastModifiedBy>boaz ohana</cp:lastModifiedBy>
  <cp:lastPrinted>2021-10-04T19:07:06Z</cp:lastPrinted>
  <dcterms:created xsi:type="dcterms:W3CDTF">2021-10-04T19:06:29Z</dcterms:created>
  <dcterms:modified xsi:type="dcterms:W3CDTF">2021-10-04T19:07:56Z</dcterms:modified>
</cp:coreProperties>
</file>